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2012 на отправку" sheetId="1" r:id="rId1"/>
  </sheets>
  <definedNames>
    <definedName name="_xlnm._FilterDatabase" localSheetId="0" hidden="1">'2012 на отправку'!$A$11:$K$84</definedName>
    <definedName name="_xlnm.Print_Area" localSheetId="0">'2012 на отправку'!$A$1:$K$82</definedName>
  </definedNames>
  <calcPr fullCalcOnLoad="1"/>
</workbook>
</file>

<file path=xl/comments1.xml><?xml version="1.0" encoding="utf-8"?>
<comments xmlns="http://schemas.openxmlformats.org/spreadsheetml/2006/main">
  <authors>
    <author>татьяна</author>
    <author>TanaKa</author>
  </authors>
  <commentList>
    <comment ref="D58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Водоканал
ОЭ
ПКТС????
Делюкс
ИП Прокофьев
</t>
        </r>
      </text>
    </comment>
    <comment ref="K44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Фактически есть клуб на Поньге, но докуметально аварийное состояние не подтверждено</t>
        </r>
      </text>
    </comment>
    <comment ref="D49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679878,3 кв.м
18,18 -Елизаров</t>
        </r>
      </text>
    </comment>
    <comment ref="E49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581797кв.м
18,38-Елизаров</t>
        </r>
      </text>
    </comment>
    <comment ref="F49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584932кв.м
18,48-Елизаров</t>
        </r>
      </text>
    </comment>
    <comment ref="B49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делить на численность по состоянию на конец года</t>
        </r>
      </text>
    </comment>
    <comment ref="B50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делить на среднегодовую  численность </t>
        </r>
      </text>
    </comment>
    <comment ref="B17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Общая протяженность дорог общ. Пользования местного значения в районе = 239,4 км</t>
        </r>
      </text>
    </comment>
    <comment ref="H58" authorId="0">
      <text>
        <r>
          <rPr>
            <b/>
            <sz val="8"/>
            <rFont val="Tahoma"/>
            <family val="0"/>
          </rPr>
          <t>татьяна:</t>
        </r>
        <r>
          <rPr>
            <sz val="8"/>
            <rFont val="Tahoma"/>
            <family val="0"/>
          </rPr>
          <t xml:space="preserve">
Водоканал
ОЭ
Делюкс
ИП Прокофьев
в 2012 году ПКТС продало долю субъекта РФ</t>
        </r>
      </text>
    </comment>
    <comment ref="H64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коллектор</t>
        </r>
      </text>
    </comment>
    <comment ref="B18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Усть-Кожа
Пурнема
Лямца</t>
        </r>
      </text>
    </comment>
    <comment ref="G41" authorId="1">
      <text>
        <r>
          <rPr>
            <b/>
            <sz val="9"/>
            <rFont val="Tahoma"/>
            <family val="0"/>
          </rPr>
          <t>TanaKa:</t>
        </r>
        <r>
          <rPr>
            <sz val="9"/>
            <rFont val="Tahoma"/>
            <family val="0"/>
          </rPr>
          <t xml:space="preserve">
обеспеченность в районе=100% (норма 50 мест на 1тыс.жителей),
 в городе - 77,1%(560+100+150=810 мест при норме 1050 мест, т.е.77,1%)</t>
        </r>
      </text>
    </comment>
  </commentList>
</comments>
</file>

<file path=xl/sharedStrings.xml><?xml version="1.0" encoding="utf-8"?>
<sst xmlns="http://schemas.openxmlformats.org/spreadsheetml/2006/main" count="357" uniqueCount="227">
  <si>
    <t xml:space="preserve">I. Показатели эффективности деятельности органов местного
самоуправления  Онежского муниципального района </t>
  </si>
  <si>
    <t>Единица измерения</t>
  </si>
  <si>
    <t>Отчетная информация</t>
  </si>
  <si>
    <t>Примечание</t>
  </si>
  <si>
    <t>1</t>
  </si>
  <si>
    <t xml:space="preserve">Число субъектов малого и среднего предпринимательства в расчете на 10 тыс. человек  населения
</t>
  </si>
  <si>
    <t>единиц</t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</si>
  <si>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</si>
  <si>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</si>
  <si>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</si>
  <si>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</t>
  </si>
  <si>
    <t xml:space="preserve">Объем инвестиций в основной капитал (за исключением бюджетных средств) в расчете  на 1 жителя
</t>
  </si>
  <si>
    <t>рублей</t>
  </si>
  <si>
    <t>Увеличение показателя связано со строительством  в 2013-2014гг предприятия по производству топливных пеллет (общий объём инвестиций 1116 млн.руб)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</si>
  <si>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</si>
  <si>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</si>
  <si>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</si>
  <si>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</si>
  <si>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</si>
  <si>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
</t>
  </si>
  <si>
    <t>91,6</t>
  </si>
  <si>
    <t>90,2</t>
  </si>
  <si>
    <t>88,8</t>
  </si>
  <si>
    <t>87,4</t>
  </si>
  <si>
    <t>86,0</t>
  </si>
  <si>
    <t>7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</si>
  <si>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</t>
  </si>
  <si>
    <t>8,4</t>
  </si>
  <si>
    <t>8</t>
  </si>
  <si>
    <t>Среднемесячная номинальная начисленная заработная плата работников:</t>
  </si>
  <si>
    <t>X</t>
  </si>
  <si>
    <t>8.1</t>
  </si>
  <si>
    <t xml:space="preserve">     крупных и средних предприятий и 
     некоммерческих организаций</t>
  </si>
  <si>
    <t>8.2</t>
  </si>
  <si>
    <t xml:space="preserve">     муниципальных дошкольных образовательных
     учреждений</t>
  </si>
  <si>
    <t>8.3</t>
  </si>
  <si>
    <t xml:space="preserve">     муниципальных общеобразовательных 
     учреждений</t>
  </si>
  <si>
    <t>В 2012 году произошло увеличение фонда оплаты труда учителей на 9% с 1 сентября 2012 года.</t>
  </si>
  <si>
    <t>8.4</t>
  </si>
  <si>
    <t xml:space="preserve">     учителей муниципальных   
     общеобразовательных учреждений</t>
  </si>
  <si>
    <t>8.5</t>
  </si>
  <si>
    <t xml:space="preserve">     муниципальных учреждений культуры и 
     искусства</t>
  </si>
  <si>
    <t>Программа поэтапного совершенствования системы оплаты труда в государственных (муниципальных) учреждениях на 2012 – 2018 годы, утвержденная распоряжением Правительства Российской Федерации от 26 ноября 
2012 года № 2190-р, Указ Президента Российской Федер</t>
  </si>
  <si>
    <t>8.6</t>
  </si>
  <si>
    <t xml:space="preserve">     муниципальных учреждений физической 
    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</si>
  <si>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</si>
  <si>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</si>
  <si>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</si>
  <si>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56,0</t>
  </si>
  <si>
    <t>54,0</t>
  </si>
  <si>
    <t>55,0</t>
  </si>
  <si>
    <t>57,0</t>
  </si>
  <si>
    <t>66,0</t>
  </si>
  <si>
    <t>70,0</t>
  </si>
  <si>
    <t>Доля детей в 2012 году увеличилась на 2% в связи  с открытием группы кратковременного пребывания в МБОУ "Ковкульская средняя общеобразовательная школа" на 14 мест. В 2013году будет введено в эксплуатацию здание МБДОУ"Детский сад № 2 "Ромашка" на 115 мест.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</si>
  <si>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</si>
  <si>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</si>
  <si>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31,0</t>
  </si>
  <si>
    <t>32,0</t>
  </si>
  <si>
    <t>27,0</t>
  </si>
  <si>
    <t>29,0</t>
  </si>
  <si>
    <t>24,0</t>
  </si>
  <si>
    <t>Доля детей уменьшается в связи с увеличением доли детей 1-6 лет, получающих дошкольную образовательную услугу.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</si>
  <si>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</si>
  <si>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</si>
  <si>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В форме статнаблюдения 85-К за 2012 год нулевые значения</t>
  </si>
  <si>
    <t>III. Общее и дополнительное образование</t>
  </si>
  <si>
    <t>12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</si>
  <si>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</t>
  </si>
  <si>
    <t>97,1</t>
  </si>
  <si>
    <t>98,7</t>
  </si>
  <si>
    <t>99,6</t>
  </si>
  <si>
    <t>96,7</t>
  </si>
  <si>
    <t>100</t>
  </si>
  <si>
    <t>Доля  в 2012 году составила 96,7%, 6 выпускников из 181 не сдали единый государственный экзамен. В 2013-2015 годах показатель запланирован на уровне 100%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</si>
  <si>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</si>
  <si>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 численности выпускников муниципальных общеобразовательных учреждений</t>
  </si>
  <si>
    <t>1,3</t>
  </si>
  <si>
    <t>1,6</t>
  </si>
  <si>
    <t>3,6</t>
  </si>
  <si>
    <t>3,2</t>
  </si>
  <si>
    <t>0</t>
  </si>
  <si>
    <t xml:space="preserve"> в 2012 году не получили аттестат о среднем (полном) образовании  6 человек.В 2013-2015 годы планируется, что все выпускники общеобразовательных учреждений получат аттестат о среднем (полном) образовании. </t>
  </si>
  <si>
    <t>14</t>
  </si>
  <si>
    <t>Доля муниципальных общеобразовательных учреждений, соответствующих
современным требованиям обучения, в общем количестве муниципальных общеобразовательных учреждений</t>
  </si>
  <si>
    <t>-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</si>
  <si>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</si>
  <si>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</si>
  <si>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в течение  2012 года были отремонтированы здания двух школ, требовавших кап.ремонта. В 2013 году запланирован кап. ремонт в здании Малошуйской средней школы.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</si>
  <si>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</si>
  <si>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</si>
  <si>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69,5</t>
  </si>
  <si>
    <t>71,0</t>
  </si>
  <si>
    <t>75,05</t>
  </si>
  <si>
    <t xml:space="preserve">  В 2013-2015 годах значение показателя планируется увеличить до 77,0% за счет мероприятий по оздоровлению детей.</t>
  </si>
  <si>
    <t>17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</si>
  <si>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  общеобразовательных учреждениях        </t>
  </si>
  <si>
    <t>19,2</t>
  </si>
  <si>
    <t>20,4</t>
  </si>
  <si>
    <t>13,9</t>
  </si>
  <si>
    <t>15,0</t>
  </si>
  <si>
    <t>В ср.шк. №2 в 2012 году введена  вторая смена ( в 2011 году её не было)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</si>
  <si>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</si>
  <si>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</si>
  <si>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</si>
  <si>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46,9</t>
  </si>
  <si>
    <t>46,4</t>
  </si>
  <si>
    <t>58,8</t>
  </si>
  <si>
    <t>74,6</t>
  </si>
  <si>
    <t>85,6</t>
  </si>
  <si>
    <t>В 2012 году по сравнению с 2011 годом увеличен объем субвенции по общеобразовательным программам. В 2012 году рост расходов, по сравнению с 2011 годом объясняется ростом заработной платы.  На 2013 год также запланирован рост расходов на увеличение ФОТ раб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</si>
  <si>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</si>
  <si>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 в общей численности детей данной возрастной группы</t>
  </si>
  <si>
    <t>63</t>
  </si>
  <si>
    <t>64</t>
  </si>
  <si>
    <t>IV.  Культура</t>
  </si>
  <si>
    <t>20</t>
  </si>
  <si>
    <t>Уровень фактической обеспеченности учреждениями культуры от нормативной потребности:</t>
  </si>
  <si>
    <t>20.1</t>
  </si>
  <si>
    <t>клубами и учреждениями клубного типа</t>
  </si>
  <si>
    <t>20.2</t>
  </si>
  <si>
    <t xml:space="preserve">библиотеками  </t>
  </si>
  <si>
    <t>20.3</t>
  </si>
  <si>
    <t xml:space="preserve">парками культуры и отдыха  </t>
  </si>
  <si>
    <t>21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</si>
  <si>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</si>
  <si>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</si>
  <si>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 cобственности</t>
  </si>
  <si>
    <t>V. Физическая культура и спорт</t>
  </si>
  <si>
    <t>23</t>
  </si>
  <si>
    <t xml:space="preserve">Доля населения, систематически занимающегося физической культурой и спортом      </t>
  </si>
  <si>
    <t>9,2</t>
  </si>
  <si>
    <t>9,4</t>
  </si>
  <si>
    <t>9,5</t>
  </si>
  <si>
    <t>9,8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</si>
  <si>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</si>
  <si>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</si>
  <si>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
     - всего</t>
  </si>
  <si>
    <t>кв. метров</t>
  </si>
  <si>
    <t>24.1</t>
  </si>
  <si>
    <t xml:space="preserve">     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</si>
  <si>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</si>
  <si>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
      - всего</t>
  </si>
  <si>
    <t>гектаров</t>
  </si>
  <si>
    <t>25.1</t>
  </si>
  <si>
    <t xml:space="preserve">     в том числе земельных участков, 
     предоставленных для жилищного 
     строительства,  индивидуального 
     строительства и комплексного освоения в 
     целях жилищного 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</si>
  <si>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</si>
  <si>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 ввод в эксп</t>
  </si>
  <si>
    <t>26.1</t>
  </si>
  <si>
    <t xml:space="preserve">     объектов жилищного строительства -
     в течение 3 лет</t>
  </si>
  <si>
    <t>указанных объектов нет</t>
  </si>
  <si>
    <t>26.2</t>
  </si>
  <si>
    <t xml:space="preserve">     иных объектов капитального строительства - 
     в течение 5 лет</t>
  </si>
  <si>
    <t>VII. Жилищно-коммунальное хозяйство</t>
  </si>
  <si>
    <t>27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</si>
  <si>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 многоквартирных домов, в которых собственники   помещений должны выбрать способ управления данными домами
</t>
  </si>
  <si>
    <t>28</t>
  </si>
  <si>
    <t>29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</si>
  <si>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</si>
  <si>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</si>
  <si>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</si>
  <si>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 в 2011-2012 г введен в эксплуатацию жилой дом по ул.Матросова,10 и 10А</t>
  </si>
  <si>
    <t>VIII.  Организация муниципального управления</t>
  </si>
  <si>
    <t>31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</si>
  <si>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</si>
  <si>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</si>
  <si>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</si>
  <si>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На 01.01.2013г. в процедуре банкротства находятся МУП «Спецуслуги», МУП "ГУ ЖКХ"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</si>
  <si>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</si>
  <si>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  района)</t>
  </si>
  <si>
    <t>Незавершены: напорный коллектор в г. Онега, Очистные сооружения, проектирование водопровода с оз. Большое Хайнозеро.</t>
  </si>
  <si>
    <t>34</t>
  </si>
  <si>
    <t>Доля просроченной кредиторской задолженности 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</si>
  <si>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</si>
  <si>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</si>
  <si>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</si>
  <si>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</si>
  <si>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</si>
  <si>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нет</t>
  </si>
  <si>
    <t>да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</si>
  <si>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</si>
  <si>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</si>
  <si>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</si>
  <si>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</t>
  </si>
  <si>
    <t>Среднегодовая численность постоянного населения</t>
  </si>
  <si>
    <t>тыс. человек</t>
  </si>
  <si>
    <t>37,4</t>
  </si>
  <si>
    <t>IX. 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</si>
  <si>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</si>
  <si>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домах:</t>
  </si>
  <si>
    <t>39.1</t>
  </si>
  <si>
    <t xml:space="preserve">     электрическая энергия      </t>
  </si>
  <si>
    <t>кВт/ч на 1 проживающего</t>
  </si>
  <si>
    <t>Увеличение потребления э/энергии связано с повышением уровня комфортности населения, приобретением сложной бытовой техники различной сферы применения, а также с расходом на общедомовые нужды</t>
  </si>
  <si>
    <t>39.2</t>
  </si>
  <si>
    <t xml:space="preserve">     тепловая энергия</t>
  </si>
  <si>
    <t>Гкал на 1 кв. метр  общей площади</t>
  </si>
  <si>
    <t>39.3</t>
  </si>
  <si>
    <t xml:space="preserve">     горячая вода</t>
  </si>
  <si>
    <t>куб. метров на 1 проживающего</t>
  </si>
  <si>
    <t>39.4</t>
  </si>
  <si>
    <t xml:space="preserve">     холодная вода</t>
  </si>
  <si>
    <t>39.5</t>
  </si>
  <si>
    <t xml:space="preserve">     природный газ</t>
  </si>
  <si>
    <t>40</t>
  </si>
  <si>
    <t xml:space="preserve">Удельная величина потребления энергетических ресурсов муниципальными бюджетными учреждениями:
</t>
  </si>
  <si>
    <t>40.1</t>
  </si>
  <si>
    <t>кВт/ч на 1 человека населения</t>
  </si>
  <si>
    <t>40.2</t>
  </si>
  <si>
    <t>В связи с отсутствием данных по площадям, расчет сделан на 1 человека населения</t>
  </si>
  <si>
    <t>40.3</t>
  </si>
  <si>
    <t>куб. метров на 1 человека населения</t>
  </si>
  <si>
    <t>в составе тепловой энергии</t>
  </si>
  <si>
    <t>Счета-фактуры по ГВС бюджетным потребителям предъявляются в составе тепловой энергии</t>
  </si>
  <si>
    <t>40.4</t>
  </si>
  <si>
    <t>40.5</t>
  </si>
  <si>
    <t>Численность на к.года</t>
  </si>
  <si>
    <t>темп снижения численности</t>
  </si>
  <si>
    <r>
      <t>Уменьшение потребления</t>
    </r>
    <r>
      <rPr>
        <u val="single"/>
        <sz val="11"/>
        <rFont val="Times New Roman"/>
        <family val="1"/>
      </rPr>
      <t xml:space="preserve"> всех видов ресурсов</t>
    </r>
    <r>
      <rPr>
        <sz val="11"/>
        <rFont val="Times New Roman"/>
        <family val="1"/>
      </rPr>
      <t xml:space="preserve"> связано с передачей  c 2012 года МБУЗ "Онежская ЦРБ" из муниципальной собственности в собственность Архангельской области. По эл.энергии также и с проводимыми мероприятиями по  энергосбережению</t>
    </r>
  </si>
  <si>
    <t xml:space="preserve">Доля организаций коммунального комплекса, осуществляющих производство товаров, оказание услуг 
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
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</si>
  <si>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 ДОКЛАД</t>
  </si>
  <si>
    <t xml:space="preserve">  </t>
  </si>
  <si>
    <t xml:space="preserve">о достигнутых значениях показателей для оценки эффективности деятельности органов местного </t>
  </si>
  <si>
    <t>самоуправления городских округов</t>
  </si>
  <si>
    <t xml:space="preserve"> и муниципальных районов Архангельской области</t>
  </si>
  <si>
    <t>за 2012 год и их планируемых значениях на 3-летний период</t>
  </si>
  <si>
    <t xml:space="preserve"> главы   муниципального образования "Онежский муниципальный район"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</si>
</sst>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0"/>
    <numFmt numFmtId="179" formatCode="0.0000"/>
    <numFmt numFmtId="180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18" applyFont="1" applyFill="1" applyBorder="1" applyAlignment="1">
      <alignment horizontal="center" vertical="center" wrapText="1"/>
      <protection/>
    </xf>
    <xf numFmtId="49" fontId="5" fillId="0" borderId="2" xfId="0" applyNumberFormat="1" applyFont="1" applyFill="1" applyBorder="1" applyAlignment="1">
      <alignment horizontal="centerContinuous" vertical="center" wrapText="1"/>
    </xf>
    <xf numFmtId="49" fontId="5" fillId="0" borderId="3" xfId="0" applyNumberFormat="1" applyFont="1" applyFill="1" applyBorder="1" applyAlignment="1">
      <alignment horizontal="centerContinuous" vertical="center" wrapText="1"/>
    </xf>
    <xf numFmtId="49" fontId="5" fillId="0" borderId="4" xfId="0" applyNumberFormat="1" applyFont="1" applyFill="1" applyBorder="1" applyAlignment="1">
      <alignment horizontal="centerContinuous" vertical="center" wrapText="1"/>
    </xf>
    <xf numFmtId="0" fontId="4" fillId="0" borderId="5" xfId="0" applyFont="1" applyBorder="1" applyAlignment="1">
      <alignment/>
    </xf>
    <xf numFmtId="0" fontId="4" fillId="0" borderId="5" xfId="18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6" xfId="18" applyNumberFormat="1" applyFont="1" applyFill="1" applyBorder="1" applyAlignment="1">
      <alignment horizontal="center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18" applyFont="1" applyFill="1" applyBorder="1" applyAlignment="1">
      <alignment horizontal="center" vertical="center" wrapText="1"/>
      <protection/>
    </xf>
    <xf numFmtId="3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2" xfId="18" applyFont="1" applyFill="1" applyBorder="1" applyAlignment="1">
      <alignment horizontal="center" vertical="center"/>
      <protection/>
    </xf>
    <xf numFmtId="172" fontId="5" fillId="0" borderId="6" xfId="0" applyNumberFormat="1" applyFont="1" applyFill="1" applyBorder="1" applyAlignment="1">
      <alignment horizontal="center" vertical="center"/>
    </xf>
    <xf numFmtId="49" fontId="4" fillId="0" borderId="6" xfId="19" applyNumberFormat="1" applyFont="1" applyFill="1" applyBorder="1" applyAlignment="1">
      <alignment horizontal="left" vertical="center" wrapText="1"/>
      <protection/>
    </xf>
    <xf numFmtId="4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center"/>
    </xf>
    <xf numFmtId="49" fontId="4" fillId="0" borderId="6" xfId="19" applyNumberFormat="1" applyFont="1" applyFill="1" applyBorder="1" applyAlignment="1">
      <alignment horizontal="center" vertical="center" wrapText="1"/>
      <protection/>
    </xf>
    <xf numFmtId="0" fontId="4" fillId="0" borderId="6" xfId="19" applyNumberFormat="1" applyFont="1" applyFill="1" applyBorder="1" applyAlignment="1">
      <alignment horizontal="left" vertical="justify" wrapText="1"/>
      <protection/>
    </xf>
    <xf numFmtId="49" fontId="4" fillId="0" borderId="2" xfId="18" applyNumberFormat="1" applyFont="1" applyFill="1" applyBorder="1" applyAlignment="1">
      <alignment horizontal="center" vertical="center"/>
      <protection/>
    </xf>
    <xf numFmtId="49" fontId="4" fillId="0" borderId="3" xfId="18" applyNumberFormat="1" applyFont="1" applyFill="1" applyBorder="1" applyAlignment="1">
      <alignment horizontal="center" vertical="center"/>
      <protection/>
    </xf>
    <xf numFmtId="49" fontId="4" fillId="0" borderId="4" xfId="18" applyNumberFormat="1" applyFont="1" applyFill="1" applyBorder="1" applyAlignment="1">
      <alignment horizontal="center" vertical="center"/>
      <protection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2" fontId="4" fillId="0" borderId="6" xfId="19" applyNumberFormat="1" applyFont="1" applyFill="1" applyBorder="1" applyAlignment="1">
      <alignment horizontal="left" vertical="center" wrapText="1"/>
      <protection/>
    </xf>
    <xf numFmtId="0" fontId="5" fillId="0" borderId="2" xfId="0" applyFont="1" applyFill="1" applyBorder="1" applyAlignment="1">
      <alignment horizontal="center" vertical="center"/>
    </xf>
    <xf numFmtId="49" fontId="4" fillId="0" borderId="6" xfId="19" applyNumberFormat="1" applyFont="1" applyFill="1" applyBorder="1" applyAlignment="1">
      <alignment horizontal="left" vertical="center" wrapText="1"/>
      <protection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2" fontId="4" fillId="0" borderId="1" xfId="19" applyNumberFormat="1" applyFont="1" applyFill="1" applyBorder="1" applyAlignment="1">
      <alignment horizontal="center" vertical="center" wrapText="1"/>
      <protection/>
    </xf>
    <xf numFmtId="49" fontId="5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8" fillId="0" borderId="6" xfId="19" applyNumberFormat="1" applyFont="1" applyFill="1" applyBorder="1" applyAlignment="1">
      <alignment horizontal="center" vertical="center" wrapText="1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Continuous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5" xfId="0" applyNumberFormat="1" applyFont="1" applyFill="1" applyBorder="1" applyAlignment="1">
      <alignment horizontal="left" vertical="center" wrapText="1"/>
    </xf>
    <xf numFmtId="172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72" fontId="5" fillId="0" borderId="6" xfId="0" applyNumberFormat="1" applyFont="1" applyBorder="1" applyAlignment="1">
      <alignment horizontal="center" vertical="center"/>
    </xf>
    <xf numFmtId="172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 24" xfId="18"/>
    <cellStyle name="Обычный_Энергосбережени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workbookViewId="0" topLeftCell="A1">
      <pane xSplit="2" ySplit="11" topLeftCell="C82" activePane="bottomRight" state="frozen"/>
      <selection pane="topLeft" activeCell="A22" sqref="A22:N22"/>
      <selection pane="topRight" activeCell="A22" sqref="A22:N22"/>
      <selection pane="bottomLeft" activeCell="A22" sqref="A22:N22"/>
      <selection pane="bottomRight" activeCell="B5" sqref="B5:J5"/>
    </sheetView>
  </sheetViews>
  <sheetFormatPr defaultColWidth="9.140625" defaultRowHeight="12.75"/>
  <cols>
    <col min="1" max="1" width="4.28125" style="1" customWidth="1"/>
    <col min="2" max="2" width="43.28125" style="83" customWidth="1"/>
    <col min="3" max="3" width="12.00390625" style="1" customWidth="1"/>
    <col min="4" max="6" width="11.57421875" style="1" customWidth="1"/>
    <col min="7" max="7" width="11.57421875" style="59" customWidth="1"/>
    <col min="8" max="10" width="11.57421875" style="1" customWidth="1"/>
    <col min="11" max="11" width="32.00390625" style="1" customWidth="1"/>
    <col min="12" max="16384" width="9.140625" style="1" customWidth="1"/>
  </cols>
  <sheetData>
    <row r="1" spans="2:10" ht="15">
      <c r="B1" s="88" t="s">
        <v>220</v>
      </c>
      <c r="C1" s="88"/>
      <c r="D1" s="88"/>
      <c r="E1" s="88"/>
      <c r="F1" s="88"/>
      <c r="G1" s="88"/>
      <c r="H1" s="88"/>
      <c r="I1" s="88"/>
      <c r="J1" s="88"/>
    </row>
    <row r="2" spans="2:10" ht="9" customHeight="1">
      <c r="B2" s="89" t="s">
        <v>221</v>
      </c>
      <c r="C2" s="89"/>
      <c r="D2" s="89"/>
      <c r="E2" s="89"/>
      <c r="F2" s="89"/>
      <c r="G2" s="89"/>
      <c r="H2" s="89"/>
      <c r="I2" s="89"/>
      <c r="J2" s="89"/>
    </row>
    <row r="3" spans="2:10" ht="15">
      <c r="B3" s="88" t="s">
        <v>226</v>
      </c>
      <c r="C3" s="88"/>
      <c r="D3" s="88"/>
      <c r="E3" s="88"/>
      <c r="F3" s="88"/>
      <c r="G3" s="88"/>
      <c r="H3" s="88"/>
      <c r="I3" s="88"/>
      <c r="J3" s="88"/>
    </row>
    <row r="4" spans="2:10" ht="15">
      <c r="B4" s="88" t="s">
        <v>222</v>
      </c>
      <c r="C4" s="88"/>
      <c r="D4" s="88"/>
      <c r="E4" s="88"/>
      <c r="F4" s="88"/>
      <c r="G4" s="88"/>
      <c r="H4" s="88"/>
      <c r="I4" s="88"/>
      <c r="J4" s="88"/>
    </row>
    <row r="5" spans="2:10" ht="15">
      <c r="B5" s="88" t="s">
        <v>223</v>
      </c>
      <c r="C5" s="88"/>
      <c r="D5" s="88"/>
      <c r="E5" s="88"/>
      <c r="F5" s="88"/>
      <c r="G5" s="88"/>
      <c r="H5" s="88"/>
      <c r="I5" s="88"/>
      <c r="J5" s="88"/>
    </row>
    <row r="6" spans="2:10" ht="15">
      <c r="B6" s="88" t="s">
        <v>224</v>
      </c>
      <c r="C6" s="88"/>
      <c r="D6" s="88"/>
      <c r="E6" s="88"/>
      <c r="F6" s="88"/>
      <c r="G6" s="88"/>
      <c r="H6" s="88"/>
      <c r="I6" s="88"/>
      <c r="J6" s="88"/>
    </row>
    <row r="7" spans="2:10" ht="35.25" customHeight="1">
      <c r="B7" s="88" t="s">
        <v>225</v>
      </c>
      <c r="C7" s="88"/>
      <c r="D7" s="88"/>
      <c r="E7" s="88"/>
      <c r="F7" s="88"/>
      <c r="G7" s="88"/>
      <c r="H7" s="88"/>
      <c r="I7" s="88"/>
      <c r="J7" s="88"/>
    </row>
    <row r="8" spans="2:10" ht="35.25" customHeight="1">
      <c r="B8" s="93"/>
      <c r="C8" s="93"/>
      <c r="D8" s="93"/>
      <c r="E8" s="93"/>
      <c r="F8" s="93"/>
      <c r="G8" s="93"/>
      <c r="H8" s="93"/>
      <c r="I8" s="93"/>
      <c r="J8" s="93"/>
    </row>
    <row r="9" spans="2:11" ht="60.75" customHeight="1">
      <c r="B9" s="90" t="s">
        <v>0</v>
      </c>
      <c r="C9" s="91"/>
      <c r="D9" s="91"/>
      <c r="E9" s="91"/>
      <c r="F9" s="91"/>
      <c r="G9" s="91"/>
      <c r="H9" s="91"/>
      <c r="I9" s="91"/>
      <c r="J9" s="91"/>
      <c r="K9" s="92"/>
    </row>
    <row r="10" spans="1:11" ht="38.25" customHeight="1">
      <c r="A10" s="2"/>
      <c r="B10" s="86"/>
      <c r="C10" s="3" t="s">
        <v>1</v>
      </c>
      <c r="D10" s="4" t="s">
        <v>2</v>
      </c>
      <c r="E10" s="5"/>
      <c r="F10" s="5"/>
      <c r="G10" s="5"/>
      <c r="H10" s="5"/>
      <c r="I10" s="5"/>
      <c r="J10" s="6"/>
      <c r="K10" s="84" t="s">
        <v>3</v>
      </c>
    </row>
    <row r="11" spans="1:11" ht="25.5" customHeight="1">
      <c r="A11" s="7"/>
      <c r="B11" s="87"/>
      <c r="C11" s="8"/>
      <c r="D11" s="9">
        <v>2009</v>
      </c>
      <c r="E11" s="9">
        <v>2010</v>
      </c>
      <c r="F11" s="9">
        <v>2011</v>
      </c>
      <c r="G11" s="9">
        <v>2012</v>
      </c>
      <c r="H11" s="9">
        <v>2013</v>
      </c>
      <c r="I11" s="9">
        <v>2014</v>
      </c>
      <c r="J11" s="9">
        <v>2015</v>
      </c>
      <c r="K11" s="85"/>
    </row>
    <row r="12" spans="1:11" ht="45">
      <c r="A12" s="10" t="s">
        <v>4</v>
      </c>
      <c r="B12" s="11" t="s">
        <v>5</v>
      </c>
      <c r="C12" s="12" t="s">
        <v>6</v>
      </c>
      <c r="D12" s="13">
        <f>650/D69*10</f>
        <v>173.79679144385025</v>
      </c>
      <c r="E12" s="13">
        <f>674/E69*10</f>
        <v>190.3954802259887</v>
      </c>
      <c r="F12" s="13">
        <f>784/F69*10</f>
        <v>225.2873563218391</v>
      </c>
      <c r="G12" s="13">
        <f>837/G69*10</f>
        <v>246.08238026636877</v>
      </c>
      <c r="H12" s="13">
        <f>800/H69*10</f>
        <v>240.14648935850872</v>
      </c>
      <c r="I12" s="13">
        <f>800/I69*10</f>
        <v>245.3009536074572</v>
      </c>
      <c r="J12" s="13">
        <f>800/J69*10</f>
        <v>250.68154043806604</v>
      </c>
      <c r="K12" s="14"/>
    </row>
    <row r="13" spans="1:11" ht="90">
      <c r="A13" s="10" t="s">
        <v>7</v>
      </c>
      <c r="B13" s="11" t="s">
        <v>8</v>
      </c>
      <c r="C13" s="15" t="s">
        <v>9</v>
      </c>
      <c r="D13" s="16">
        <v>15.9</v>
      </c>
      <c r="E13" s="16">
        <f>(808+384)/(6333+808)*100</f>
        <v>16.692340008402184</v>
      </c>
      <c r="F13" s="16">
        <f>(808+384)/(5917+808)*100</f>
        <v>17.724907063197026</v>
      </c>
      <c r="G13" s="16">
        <f>(808+384)/(5708+808)*100</f>
        <v>18.293431553100064</v>
      </c>
      <c r="H13" s="16">
        <f>(808+384)/(5700+808)*100</f>
        <v>18.315918869084204</v>
      </c>
      <c r="I13" s="16">
        <f>(808+384)/(5700+808)*100</f>
        <v>18.315918869084204</v>
      </c>
      <c r="J13" s="16">
        <f>(808+384)/(5700+808)*100</f>
        <v>18.315918869084204</v>
      </c>
      <c r="K13" s="14"/>
    </row>
    <row r="14" spans="1:11" ht="90">
      <c r="A14" s="10" t="s">
        <v>10</v>
      </c>
      <c r="B14" s="11" t="s">
        <v>11</v>
      </c>
      <c r="C14" s="15" t="s">
        <v>12</v>
      </c>
      <c r="D14" s="13">
        <f>73738/D69</f>
        <v>1971.6042780748664</v>
      </c>
      <c r="E14" s="13">
        <f>24655/E69</f>
        <v>696.4689265536723</v>
      </c>
      <c r="F14" s="13">
        <v>1012</v>
      </c>
      <c r="G14" s="13">
        <v>769</v>
      </c>
      <c r="H14" s="13">
        <f>(1116000*0.3)/H69</f>
        <v>10050.13057965359</v>
      </c>
      <c r="I14" s="13">
        <f>(1116000*0.7)/I69</f>
        <v>23953.638119768195</v>
      </c>
      <c r="J14" s="13">
        <v>1000</v>
      </c>
      <c r="K14" s="17" t="s">
        <v>13</v>
      </c>
    </row>
    <row r="15" spans="1:11" ht="75">
      <c r="A15" s="10" t="s">
        <v>14</v>
      </c>
      <c r="B15" s="11" t="s">
        <v>15</v>
      </c>
      <c r="C15" s="15" t="s">
        <v>9</v>
      </c>
      <c r="D15" s="18">
        <f>(342+7+136+606)/(2371351+4222)*100</f>
        <v>0.045925761910915804</v>
      </c>
      <c r="E15" s="18">
        <f>(342+7+136+606)/(2371351+4222)*100</f>
        <v>0.045925761910915804</v>
      </c>
      <c r="F15" s="18">
        <f>(342+7+136+606+800)/(2371351+4222)*100</f>
        <v>0.07960184763844344</v>
      </c>
      <c r="G15" s="18">
        <f>(342+7+136+606+800+800)/(2371351+4222)*100</f>
        <v>0.11327793336597107</v>
      </c>
      <c r="H15" s="18">
        <f>(342+7+136+606+800+800)/(2371351+4222)*100</f>
        <v>0.11327793336597107</v>
      </c>
      <c r="I15" s="18">
        <f>(342+7+136+606+800+800)/(2371351+4222)*100</f>
        <v>0.11327793336597107</v>
      </c>
      <c r="J15" s="18">
        <f>(342+7+136+606+800+800)/(2371351+4222)*100</f>
        <v>0.11327793336597107</v>
      </c>
      <c r="K15" s="14"/>
    </row>
    <row r="16" spans="1:11" ht="30">
      <c r="A16" s="10" t="s">
        <v>16</v>
      </c>
      <c r="B16" s="11" t="s">
        <v>17</v>
      </c>
      <c r="C16" s="15" t="s">
        <v>9</v>
      </c>
      <c r="D16" s="13">
        <f>5/6*100</f>
        <v>83.33333333333334</v>
      </c>
      <c r="E16" s="13">
        <f>100</f>
        <v>100</v>
      </c>
      <c r="F16" s="13">
        <f>4/5*100</f>
        <v>80</v>
      </c>
      <c r="G16" s="13">
        <v>100</v>
      </c>
      <c r="H16" s="13">
        <v>100</v>
      </c>
      <c r="I16" s="13">
        <v>100</v>
      </c>
      <c r="J16" s="13">
        <v>100</v>
      </c>
      <c r="K16" s="14"/>
    </row>
    <row r="17" spans="1:11" ht="90">
      <c r="A17" s="10" t="s">
        <v>18</v>
      </c>
      <c r="B17" s="11" t="s">
        <v>19</v>
      </c>
      <c r="C17" s="15" t="s">
        <v>9</v>
      </c>
      <c r="D17" s="13" t="s">
        <v>20</v>
      </c>
      <c r="E17" s="13" t="s">
        <v>20</v>
      </c>
      <c r="F17" s="13" t="s">
        <v>20</v>
      </c>
      <c r="G17" s="13" t="s">
        <v>21</v>
      </c>
      <c r="H17" s="13" t="s">
        <v>22</v>
      </c>
      <c r="I17" s="13" t="s">
        <v>23</v>
      </c>
      <c r="J17" s="13" t="s">
        <v>24</v>
      </c>
      <c r="K17" s="19"/>
    </row>
    <row r="18" spans="1:11" ht="138" customHeight="1">
      <c r="A18" s="10" t="s">
        <v>25</v>
      </c>
      <c r="B18" s="11" t="s">
        <v>26</v>
      </c>
      <c r="C18" s="15" t="s">
        <v>9</v>
      </c>
      <c r="D18" s="13" t="s">
        <v>27</v>
      </c>
      <c r="E18" s="13" t="s">
        <v>27</v>
      </c>
      <c r="F18" s="13" t="s">
        <v>27</v>
      </c>
      <c r="G18" s="13" t="s">
        <v>27</v>
      </c>
      <c r="H18" s="13" t="s">
        <v>27</v>
      </c>
      <c r="I18" s="13" t="s">
        <v>27</v>
      </c>
      <c r="J18" s="13" t="s">
        <v>27</v>
      </c>
      <c r="K18" s="17"/>
    </row>
    <row r="19" spans="1:11" ht="39.75" customHeight="1">
      <c r="A19" s="10" t="s">
        <v>28</v>
      </c>
      <c r="B19" s="11" t="s">
        <v>29</v>
      </c>
      <c r="C19" s="15"/>
      <c r="D19" s="20" t="s">
        <v>30</v>
      </c>
      <c r="E19" s="20" t="s">
        <v>30</v>
      </c>
      <c r="F19" s="20" t="s">
        <v>30</v>
      </c>
      <c r="G19" s="20" t="s">
        <v>30</v>
      </c>
      <c r="H19" s="20" t="s">
        <v>30</v>
      </c>
      <c r="I19" s="20" t="s">
        <v>30</v>
      </c>
      <c r="J19" s="20" t="s">
        <v>30</v>
      </c>
      <c r="K19" s="21" t="s">
        <v>30</v>
      </c>
    </row>
    <row r="20" spans="1:11" ht="45">
      <c r="A20" s="10" t="s">
        <v>31</v>
      </c>
      <c r="B20" s="11" t="s">
        <v>32</v>
      </c>
      <c r="C20" s="15" t="s">
        <v>12</v>
      </c>
      <c r="D20" s="13">
        <v>13049</v>
      </c>
      <c r="E20" s="13">
        <v>14160</v>
      </c>
      <c r="F20" s="13">
        <v>15619</v>
      </c>
      <c r="G20" s="13">
        <v>18478</v>
      </c>
      <c r="H20" s="13">
        <f>G20*1.055</f>
        <v>19494.289999999997</v>
      </c>
      <c r="I20" s="13">
        <f>H20*1.055</f>
        <v>20566.475949999996</v>
      </c>
      <c r="J20" s="13">
        <f>I20*1.055</f>
        <v>21697.632127249995</v>
      </c>
      <c r="K20" s="14"/>
    </row>
    <row r="21" spans="1:11" ht="45">
      <c r="A21" s="10" t="s">
        <v>33</v>
      </c>
      <c r="B21" s="11" t="s">
        <v>34</v>
      </c>
      <c r="C21" s="15" t="s">
        <v>12</v>
      </c>
      <c r="D21" s="13">
        <v>6577</v>
      </c>
      <c r="E21" s="13">
        <v>6398.3</v>
      </c>
      <c r="F21" s="13">
        <v>7299.1</v>
      </c>
      <c r="G21" s="13">
        <v>8637.3</v>
      </c>
      <c r="H21" s="13">
        <v>12384.3</v>
      </c>
      <c r="I21" s="13">
        <f>H21</f>
        <v>12384.3</v>
      </c>
      <c r="J21" s="13">
        <f>I21*1.05</f>
        <v>13003.515</v>
      </c>
      <c r="K21" s="14"/>
    </row>
    <row r="22" spans="1:11" ht="60">
      <c r="A22" s="10" t="s">
        <v>35</v>
      </c>
      <c r="B22" s="11" t="s">
        <v>36</v>
      </c>
      <c r="C22" s="15" t="s">
        <v>12</v>
      </c>
      <c r="D22" s="13">
        <v>9674</v>
      </c>
      <c r="E22" s="13">
        <v>9553.9</v>
      </c>
      <c r="F22" s="13">
        <v>11854.1</v>
      </c>
      <c r="G22" s="13">
        <v>15080.2</v>
      </c>
      <c r="H22" s="13">
        <v>19469.9</v>
      </c>
      <c r="I22" s="13">
        <f>H22</f>
        <v>19469.9</v>
      </c>
      <c r="J22" s="13">
        <f>I22*1.035</f>
        <v>20151.3465</v>
      </c>
      <c r="K22" s="17" t="s">
        <v>37</v>
      </c>
    </row>
    <row r="23" spans="1:11" ht="60">
      <c r="A23" s="10" t="s">
        <v>38</v>
      </c>
      <c r="B23" s="11" t="s">
        <v>39</v>
      </c>
      <c r="C23" s="15" t="s">
        <v>12</v>
      </c>
      <c r="D23" s="13">
        <v>12129</v>
      </c>
      <c r="E23" s="13">
        <v>13553</v>
      </c>
      <c r="F23" s="13">
        <v>15909</v>
      </c>
      <c r="G23" s="13">
        <v>22416.7</v>
      </c>
      <c r="H23" s="13">
        <v>28656.4</v>
      </c>
      <c r="I23" s="13">
        <f>H23</f>
        <v>28656.4</v>
      </c>
      <c r="J23" s="13">
        <f>I23*1.035</f>
        <v>29659.374</v>
      </c>
      <c r="K23" s="17" t="s">
        <v>37</v>
      </c>
    </row>
    <row r="24" spans="1:11" ht="180">
      <c r="A24" s="10" t="s">
        <v>40</v>
      </c>
      <c r="B24" s="11" t="s">
        <v>41</v>
      </c>
      <c r="C24" s="15" t="s">
        <v>12</v>
      </c>
      <c r="D24" s="13">
        <v>5499</v>
      </c>
      <c r="E24" s="13">
        <v>5633</v>
      </c>
      <c r="F24" s="13">
        <v>6353</v>
      </c>
      <c r="G24" s="13">
        <v>7577</v>
      </c>
      <c r="H24" s="13">
        <v>17194</v>
      </c>
      <c r="I24" s="13">
        <v>20598</v>
      </c>
      <c r="J24" s="13">
        <v>26015</v>
      </c>
      <c r="K24" s="22" t="s">
        <v>42</v>
      </c>
    </row>
    <row r="25" spans="1:11" ht="38.25" customHeight="1">
      <c r="A25" s="10" t="s">
        <v>43</v>
      </c>
      <c r="B25" s="11" t="s">
        <v>44</v>
      </c>
      <c r="C25" s="15" t="s">
        <v>12</v>
      </c>
      <c r="D25" s="13">
        <f>7954.3</f>
        <v>7954.3</v>
      </c>
      <c r="E25" s="13">
        <v>8840.2</v>
      </c>
      <c r="F25" s="13">
        <v>9401.4</v>
      </c>
      <c r="G25" s="13">
        <v>10700</v>
      </c>
      <c r="H25" s="13">
        <v>11698.9</v>
      </c>
      <c r="I25" s="13">
        <v>11698.9</v>
      </c>
      <c r="J25" s="13">
        <v>11698.9</v>
      </c>
      <c r="K25" s="22"/>
    </row>
    <row r="26" spans="1:11" ht="15" customHeight="1">
      <c r="A26" s="23" t="s">
        <v>45</v>
      </c>
      <c r="B26" s="24"/>
      <c r="C26" s="24"/>
      <c r="D26" s="24"/>
      <c r="E26" s="24"/>
      <c r="F26" s="24"/>
      <c r="G26" s="24"/>
      <c r="H26" s="24"/>
      <c r="I26" s="24"/>
      <c r="J26" s="24"/>
      <c r="K26" s="25"/>
    </row>
    <row r="27" spans="1:11" ht="151.5" customHeight="1">
      <c r="A27" s="26" t="s">
        <v>46</v>
      </c>
      <c r="B27" s="27" t="s">
        <v>47</v>
      </c>
      <c r="C27" s="28" t="s">
        <v>9</v>
      </c>
      <c r="D27" s="13" t="s">
        <v>48</v>
      </c>
      <c r="E27" s="13" t="s">
        <v>49</v>
      </c>
      <c r="F27" s="13" t="s">
        <v>50</v>
      </c>
      <c r="G27" s="13" t="s">
        <v>51</v>
      </c>
      <c r="H27" s="13" t="s">
        <v>52</v>
      </c>
      <c r="I27" s="13" t="s">
        <v>52</v>
      </c>
      <c r="J27" s="13" t="s">
        <v>53</v>
      </c>
      <c r="K27" s="29" t="s">
        <v>54</v>
      </c>
    </row>
    <row r="28" spans="1:11" ht="73.5" customHeight="1">
      <c r="A28" s="20" t="s">
        <v>55</v>
      </c>
      <c r="B28" s="11" t="s">
        <v>56</v>
      </c>
      <c r="C28" s="30" t="s">
        <v>9</v>
      </c>
      <c r="D28" s="13" t="s">
        <v>57</v>
      </c>
      <c r="E28" s="16">
        <v>31</v>
      </c>
      <c r="F28" s="13" t="s">
        <v>58</v>
      </c>
      <c r="G28" s="13" t="s">
        <v>57</v>
      </c>
      <c r="H28" s="13" t="s">
        <v>59</v>
      </c>
      <c r="I28" s="13" t="s">
        <v>60</v>
      </c>
      <c r="J28" s="13" t="s">
        <v>61</v>
      </c>
      <c r="K28" s="29" t="s">
        <v>62</v>
      </c>
    </row>
    <row r="29" spans="1:11" ht="105">
      <c r="A29" s="20" t="s">
        <v>63</v>
      </c>
      <c r="B29" s="11" t="s">
        <v>64</v>
      </c>
      <c r="C29" s="30" t="s">
        <v>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31" t="s">
        <v>65</v>
      </c>
    </row>
    <row r="30" spans="1:11" ht="15" customHeight="1">
      <c r="A30" s="32" t="s">
        <v>66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20">
      <c r="A31" s="20" t="s">
        <v>67</v>
      </c>
      <c r="B31" s="11" t="s">
        <v>68</v>
      </c>
      <c r="C31" s="30" t="s">
        <v>9</v>
      </c>
      <c r="D31" s="13" t="s">
        <v>69</v>
      </c>
      <c r="E31" s="13" t="s">
        <v>70</v>
      </c>
      <c r="F31" s="13" t="s">
        <v>71</v>
      </c>
      <c r="G31" s="13" t="s">
        <v>72</v>
      </c>
      <c r="H31" s="13" t="s">
        <v>73</v>
      </c>
      <c r="I31" s="13" t="s">
        <v>73</v>
      </c>
      <c r="J31" s="13" t="s">
        <v>73</v>
      </c>
      <c r="K31" s="35" t="s">
        <v>74</v>
      </c>
    </row>
    <row r="32" spans="1:11" ht="135">
      <c r="A32" s="20" t="s">
        <v>75</v>
      </c>
      <c r="B32" s="11" t="s">
        <v>76</v>
      </c>
      <c r="C32" s="30" t="s">
        <v>9</v>
      </c>
      <c r="D32" s="13" t="s">
        <v>77</v>
      </c>
      <c r="E32" s="13" t="s">
        <v>78</v>
      </c>
      <c r="F32" s="13" t="s">
        <v>79</v>
      </c>
      <c r="G32" s="13" t="s">
        <v>80</v>
      </c>
      <c r="H32" s="13" t="s">
        <v>81</v>
      </c>
      <c r="I32" s="13" t="s">
        <v>81</v>
      </c>
      <c r="J32" s="13" t="s">
        <v>81</v>
      </c>
      <c r="K32" s="35" t="s">
        <v>82</v>
      </c>
    </row>
    <row r="33" spans="1:11" ht="75.75" customHeight="1">
      <c r="A33" s="20" t="s">
        <v>83</v>
      </c>
      <c r="B33" s="11" t="s">
        <v>84</v>
      </c>
      <c r="C33" s="30" t="s">
        <v>9</v>
      </c>
      <c r="D33" s="13" t="s">
        <v>73</v>
      </c>
      <c r="E33" s="13" t="s">
        <v>73</v>
      </c>
      <c r="F33" s="13" t="s">
        <v>73</v>
      </c>
      <c r="G33" s="13" t="s">
        <v>73</v>
      </c>
      <c r="H33" s="13" t="s">
        <v>73</v>
      </c>
      <c r="I33" s="13" t="s">
        <v>73</v>
      </c>
      <c r="J33" s="13" t="s">
        <v>73</v>
      </c>
      <c r="K33" s="36" t="s">
        <v>85</v>
      </c>
    </row>
    <row r="34" spans="1:11" ht="105">
      <c r="A34" s="20" t="s">
        <v>86</v>
      </c>
      <c r="B34" s="11" t="s">
        <v>87</v>
      </c>
      <c r="C34" s="30" t="s">
        <v>9</v>
      </c>
      <c r="D34" s="13" t="s">
        <v>81</v>
      </c>
      <c r="E34" s="13" t="s">
        <v>55</v>
      </c>
      <c r="F34" s="13" t="s">
        <v>55</v>
      </c>
      <c r="G34" s="13">
        <v>0</v>
      </c>
      <c r="H34" s="13" t="s">
        <v>18</v>
      </c>
      <c r="I34" s="13">
        <v>6</v>
      </c>
      <c r="J34" s="13">
        <v>6</v>
      </c>
      <c r="K34" s="37" t="s">
        <v>88</v>
      </c>
    </row>
    <row r="35" spans="1:11" ht="75">
      <c r="A35" s="20" t="s">
        <v>89</v>
      </c>
      <c r="B35" s="11" t="s">
        <v>90</v>
      </c>
      <c r="C35" s="30" t="s">
        <v>9</v>
      </c>
      <c r="D35" s="13" t="s">
        <v>91</v>
      </c>
      <c r="E35" s="13" t="s">
        <v>92</v>
      </c>
      <c r="F35" s="16">
        <v>76.2</v>
      </c>
      <c r="G35" s="13" t="s">
        <v>93</v>
      </c>
      <c r="H35" s="16">
        <v>77</v>
      </c>
      <c r="I35" s="16">
        <v>77</v>
      </c>
      <c r="J35" s="16">
        <v>77</v>
      </c>
      <c r="K35" s="35" t="s">
        <v>94</v>
      </c>
    </row>
    <row r="36" spans="1:11" ht="90">
      <c r="A36" s="20" t="s">
        <v>95</v>
      </c>
      <c r="B36" s="11" t="s">
        <v>96</v>
      </c>
      <c r="C36" s="30" t="s">
        <v>9</v>
      </c>
      <c r="D36" s="13" t="s">
        <v>97</v>
      </c>
      <c r="E36" s="13" t="s">
        <v>98</v>
      </c>
      <c r="F36" s="13" t="s">
        <v>99</v>
      </c>
      <c r="G36" s="13" t="s">
        <v>100</v>
      </c>
      <c r="H36" s="13" t="s">
        <v>100</v>
      </c>
      <c r="I36" s="13" t="s">
        <v>100</v>
      </c>
      <c r="J36" s="13" t="s">
        <v>100</v>
      </c>
      <c r="K36" s="36" t="s">
        <v>101</v>
      </c>
    </row>
    <row r="37" spans="1:11" ht="165">
      <c r="A37" s="20" t="s">
        <v>102</v>
      </c>
      <c r="B37" s="11" t="s">
        <v>103</v>
      </c>
      <c r="C37" s="38" t="s">
        <v>104</v>
      </c>
      <c r="D37" s="13" t="s">
        <v>105</v>
      </c>
      <c r="E37" s="13" t="s">
        <v>106</v>
      </c>
      <c r="F37" s="13" t="s">
        <v>107</v>
      </c>
      <c r="G37" s="13" t="s">
        <v>108</v>
      </c>
      <c r="H37" s="13" t="s">
        <v>109</v>
      </c>
      <c r="I37" s="13" t="s">
        <v>109</v>
      </c>
      <c r="J37" s="13" t="s">
        <v>109</v>
      </c>
      <c r="K37" s="35" t="s">
        <v>110</v>
      </c>
    </row>
    <row r="38" spans="1:11" ht="105">
      <c r="A38" s="39" t="s">
        <v>111</v>
      </c>
      <c r="B38" s="40" t="s">
        <v>112</v>
      </c>
      <c r="C38" s="41" t="s">
        <v>9</v>
      </c>
      <c r="D38" s="42" t="s">
        <v>113</v>
      </c>
      <c r="E38" s="42" t="s">
        <v>113</v>
      </c>
      <c r="F38" s="42" t="s">
        <v>114</v>
      </c>
      <c r="G38" s="42">
        <v>64</v>
      </c>
      <c r="H38" s="42">
        <v>64</v>
      </c>
      <c r="I38" s="42" t="s">
        <v>114</v>
      </c>
      <c r="J38" s="42" t="s">
        <v>114</v>
      </c>
      <c r="K38" s="43"/>
    </row>
    <row r="39" spans="1:11" ht="15" customHeight="1">
      <c r="A39" s="32" t="s">
        <v>115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45">
      <c r="A40" s="26" t="s">
        <v>116</v>
      </c>
      <c r="B40" s="44" t="s">
        <v>117</v>
      </c>
      <c r="C40" s="28"/>
      <c r="D40" s="45" t="s">
        <v>30</v>
      </c>
      <c r="E40" s="45" t="s">
        <v>30</v>
      </c>
      <c r="F40" s="45" t="s">
        <v>30</v>
      </c>
      <c r="G40" s="45" t="s">
        <v>30</v>
      </c>
      <c r="H40" s="45" t="s">
        <v>30</v>
      </c>
      <c r="I40" s="45" t="s">
        <v>30</v>
      </c>
      <c r="J40" s="45" t="s">
        <v>30</v>
      </c>
      <c r="K40" s="46" t="s">
        <v>30</v>
      </c>
    </row>
    <row r="41" spans="1:11" ht="30">
      <c r="A41" s="20" t="s">
        <v>118</v>
      </c>
      <c r="B41" s="47" t="s">
        <v>119</v>
      </c>
      <c r="C41" s="30" t="s">
        <v>9</v>
      </c>
      <c r="D41" s="13">
        <f aca="true" t="shared" si="0" ref="D41:J41">77.1*0.61+100*0.39</f>
        <v>86.031</v>
      </c>
      <c r="E41" s="13">
        <f t="shared" si="0"/>
        <v>86.031</v>
      </c>
      <c r="F41" s="13">
        <f t="shared" si="0"/>
        <v>86.031</v>
      </c>
      <c r="G41" s="13">
        <f t="shared" si="0"/>
        <v>86.031</v>
      </c>
      <c r="H41" s="13">
        <f t="shared" si="0"/>
        <v>86.031</v>
      </c>
      <c r="I41" s="13">
        <f t="shared" si="0"/>
        <v>86.031</v>
      </c>
      <c r="J41" s="13">
        <f t="shared" si="0"/>
        <v>86.031</v>
      </c>
      <c r="K41" s="14"/>
    </row>
    <row r="42" spans="1:11" ht="15">
      <c r="A42" s="20" t="s">
        <v>120</v>
      </c>
      <c r="B42" s="47" t="s">
        <v>121</v>
      </c>
      <c r="C42" s="30" t="s">
        <v>9</v>
      </c>
      <c r="D42" s="13">
        <v>100</v>
      </c>
      <c r="E42" s="13">
        <v>100</v>
      </c>
      <c r="F42" s="13">
        <v>100</v>
      </c>
      <c r="G42" s="13">
        <v>100</v>
      </c>
      <c r="H42" s="13">
        <v>100</v>
      </c>
      <c r="I42" s="13">
        <v>100</v>
      </c>
      <c r="J42" s="13">
        <v>100</v>
      </c>
      <c r="K42" s="14"/>
    </row>
    <row r="43" spans="1:11" ht="15">
      <c r="A43" s="20" t="s">
        <v>122</v>
      </c>
      <c r="B43" s="47" t="s">
        <v>123</v>
      </c>
      <c r="C43" s="30" t="s">
        <v>9</v>
      </c>
      <c r="D43" s="14"/>
      <c r="E43" s="14"/>
      <c r="F43" s="14"/>
      <c r="G43" s="48"/>
      <c r="H43" s="14"/>
      <c r="I43" s="14"/>
      <c r="J43" s="14"/>
      <c r="K43" s="14"/>
    </row>
    <row r="44" spans="1:11" ht="80.25" customHeight="1">
      <c r="A44" s="20" t="s">
        <v>124</v>
      </c>
      <c r="B44" s="47" t="s">
        <v>125</v>
      </c>
      <c r="C44" s="30" t="s">
        <v>9</v>
      </c>
      <c r="D44" s="14"/>
      <c r="E44" s="14"/>
      <c r="F44" s="14"/>
      <c r="G44" s="48"/>
      <c r="H44" s="14"/>
      <c r="I44" s="14"/>
      <c r="J44" s="14"/>
      <c r="K44" s="14"/>
    </row>
    <row r="45" spans="1:11" ht="94.5" customHeight="1">
      <c r="A45" s="39" t="s">
        <v>126</v>
      </c>
      <c r="B45" s="49" t="s">
        <v>127</v>
      </c>
      <c r="C45" s="41" t="s">
        <v>9</v>
      </c>
      <c r="D45" s="2"/>
      <c r="E45" s="2"/>
      <c r="F45" s="2"/>
      <c r="G45" s="50"/>
      <c r="H45" s="2"/>
      <c r="I45" s="2"/>
      <c r="J45" s="2"/>
      <c r="K45" s="2"/>
    </row>
    <row r="46" spans="1:11" ht="24" customHeight="1">
      <c r="A46" s="51"/>
      <c r="B46" s="52"/>
      <c r="C46" s="51"/>
      <c r="D46" s="53" t="s">
        <v>128</v>
      </c>
      <c r="E46" s="53"/>
      <c r="F46" s="53"/>
      <c r="G46" s="53"/>
      <c r="H46" s="53"/>
      <c r="I46" s="53"/>
      <c r="J46" s="54"/>
      <c r="K46" s="54"/>
    </row>
    <row r="47" spans="1:11" ht="45">
      <c r="A47" s="26" t="s">
        <v>129</v>
      </c>
      <c r="B47" s="55" t="s">
        <v>130</v>
      </c>
      <c r="C47" s="28" t="s">
        <v>9</v>
      </c>
      <c r="D47" s="56">
        <v>8.4</v>
      </c>
      <c r="E47" s="56">
        <v>8.504225352112677</v>
      </c>
      <c r="F47" s="56">
        <v>8.972740315638452</v>
      </c>
      <c r="G47" s="57" t="s">
        <v>131</v>
      </c>
      <c r="H47" s="57" t="s">
        <v>132</v>
      </c>
      <c r="I47" s="57" t="s">
        <v>133</v>
      </c>
      <c r="J47" s="57" t="s">
        <v>134</v>
      </c>
      <c r="K47" s="58"/>
    </row>
    <row r="48" spans="1:11" ht="15" customHeight="1">
      <c r="A48" s="32" t="s">
        <v>135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</row>
    <row r="49" spans="1:11" s="59" customFormat="1" ht="60">
      <c r="A49" s="20" t="s">
        <v>136</v>
      </c>
      <c r="B49" s="47" t="s">
        <v>137</v>
      </c>
      <c r="C49" s="30" t="s">
        <v>138</v>
      </c>
      <c r="D49" s="18">
        <f>679878.3/1000/D84</f>
        <v>19.044210084033615</v>
      </c>
      <c r="E49" s="18">
        <f>581797/1000/E84</f>
        <v>16.481501416430596</v>
      </c>
      <c r="F49" s="18">
        <f>584932/1000/F84</f>
        <v>17.002354445833213</v>
      </c>
      <c r="G49" s="18">
        <f>583000/G84/1000</f>
        <v>17.339321297921067</v>
      </c>
      <c r="H49" s="18">
        <f>(583000-(3549.9+353.5+381)+5000)/1000/H84</f>
        <v>17.68674362936703</v>
      </c>
      <c r="I49" s="18">
        <f>(583335-(3690.2+222+368.6)+5000)/I84/1000</f>
        <v>18.125382490767468</v>
      </c>
      <c r="J49" s="18">
        <v>17.38</v>
      </c>
      <c r="K49" s="48"/>
    </row>
    <row r="50" spans="1:11" s="59" customFormat="1" ht="30">
      <c r="A50" s="20" t="s">
        <v>139</v>
      </c>
      <c r="B50" s="47" t="s">
        <v>140</v>
      </c>
      <c r="C50" s="30" t="s">
        <v>138</v>
      </c>
      <c r="D50" s="18">
        <f>2.567/D69</f>
        <v>0.06863636363636365</v>
      </c>
      <c r="E50" s="18">
        <f>6.951/E69</f>
        <v>0.19635593220338982</v>
      </c>
      <c r="F50" s="18">
        <f>4.6522/F69</f>
        <v>0.13368390804597702</v>
      </c>
      <c r="G50" s="18">
        <f>4.8507/G69</f>
        <v>0.14261311851350955</v>
      </c>
      <c r="H50" s="18">
        <f>5/H69</f>
        <v>0.15009155584906794</v>
      </c>
      <c r="I50" s="18">
        <f>5/I69</f>
        <v>0.15331309600466075</v>
      </c>
      <c r="J50" s="18">
        <f>5/J69</f>
        <v>0.15667596277379128</v>
      </c>
      <c r="K50" s="48"/>
    </row>
    <row r="51" spans="1:11" ht="60">
      <c r="A51" s="20" t="s">
        <v>141</v>
      </c>
      <c r="B51" s="47" t="s">
        <v>142</v>
      </c>
      <c r="C51" s="30" t="s">
        <v>143</v>
      </c>
      <c r="D51" s="18">
        <v>0.45</v>
      </c>
      <c r="E51" s="18">
        <f>1.61/E69*10</f>
        <v>0.45480225988700573</v>
      </c>
      <c r="F51" s="18">
        <f>0.66/F69*10</f>
        <v>0.18965517241379315</v>
      </c>
      <c r="G51" s="18">
        <f>3.48/G69*10</f>
        <v>1.023138211860171</v>
      </c>
      <c r="H51" s="18">
        <f>2.32/H69*10</f>
        <v>0.6964248191396751</v>
      </c>
      <c r="I51" s="18">
        <f>2.5/I69*10</f>
        <v>0.7665654800233037</v>
      </c>
      <c r="J51" s="18">
        <f>2.5/J69*10</f>
        <v>0.7833798138689564</v>
      </c>
      <c r="K51" s="14"/>
    </row>
    <row r="52" spans="1:11" ht="90">
      <c r="A52" s="20" t="s">
        <v>144</v>
      </c>
      <c r="B52" s="47" t="s">
        <v>145</v>
      </c>
      <c r="C52" s="30" t="s">
        <v>143</v>
      </c>
      <c r="D52" s="18">
        <f aca="true" t="shared" si="1" ref="D52:J52">D51</f>
        <v>0.45</v>
      </c>
      <c r="E52" s="18">
        <f t="shared" si="1"/>
        <v>0.45480225988700573</v>
      </c>
      <c r="F52" s="18">
        <f t="shared" si="1"/>
        <v>0.18965517241379315</v>
      </c>
      <c r="G52" s="18">
        <f t="shared" si="1"/>
        <v>1.023138211860171</v>
      </c>
      <c r="H52" s="18">
        <f t="shared" si="1"/>
        <v>0.6964248191396751</v>
      </c>
      <c r="I52" s="18">
        <f t="shared" si="1"/>
        <v>0.7665654800233037</v>
      </c>
      <c r="J52" s="18">
        <f t="shared" si="1"/>
        <v>0.7833798138689564</v>
      </c>
      <c r="K52" s="14"/>
    </row>
    <row r="53" spans="1:11" ht="120">
      <c r="A53" s="20" t="s">
        <v>146</v>
      </c>
      <c r="B53" s="60" t="s">
        <v>147</v>
      </c>
      <c r="C53" s="30"/>
      <c r="D53" s="45" t="s">
        <v>30</v>
      </c>
      <c r="E53" s="45" t="s">
        <v>30</v>
      </c>
      <c r="F53" s="45" t="s">
        <v>30</v>
      </c>
      <c r="G53" s="45" t="s">
        <v>30</v>
      </c>
      <c r="H53" s="45" t="s">
        <v>30</v>
      </c>
      <c r="I53" s="45" t="s">
        <v>30</v>
      </c>
      <c r="J53" s="45" t="s">
        <v>30</v>
      </c>
      <c r="K53" s="46" t="s">
        <v>30</v>
      </c>
    </row>
    <row r="54" spans="1:11" ht="45">
      <c r="A54" s="20" t="s">
        <v>148</v>
      </c>
      <c r="B54" s="47" t="s">
        <v>149</v>
      </c>
      <c r="C54" s="30" t="s">
        <v>138</v>
      </c>
      <c r="D54" s="14"/>
      <c r="E54" s="14"/>
      <c r="F54" s="14"/>
      <c r="G54" s="48"/>
      <c r="H54" s="14"/>
      <c r="I54" s="14"/>
      <c r="J54" s="14"/>
      <c r="K54" s="61" t="s">
        <v>150</v>
      </c>
    </row>
    <row r="55" spans="1:11" ht="45">
      <c r="A55" s="39" t="s">
        <v>151</v>
      </c>
      <c r="B55" s="62" t="s">
        <v>152</v>
      </c>
      <c r="C55" s="41" t="s">
        <v>138</v>
      </c>
      <c r="D55" s="2"/>
      <c r="E55" s="2"/>
      <c r="F55" s="2"/>
      <c r="G55" s="50"/>
      <c r="H55" s="2"/>
      <c r="I55" s="2"/>
      <c r="J55" s="2"/>
      <c r="K55" s="61" t="s">
        <v>150</v>
      </c>
    </row>
    <row r="56" spans="1:11" ht="15" customHeight="1">
      <c r="A56" s="63" t="s">
        <v>153</v>
      </c>
      <c r="B56" s="64"/>
      <c r="C56" s="64"/>
      <c r="D56" s="64"/>
      <c r="E56" s="64"/>
      <c r="F56" s="64"/>
      <c r="G56" s="64"/>
      <c r="H56" s="64"/>
      <c r="I56" s="64"/>
      <c r="J56" s="64"/>
      <c r="K56" s="65"/>
    </row>
    <row r="57" spans="1:11" ht="120">
      <c r="A57" s="26" t="s">
        <v>154</v>
      </c>
      <c r="B57" s="66" t="s">
        <v>155</v>
      </c>
      <c r="C57" s="67" t="s">
        <v>9</v>
      </c>
      <c r="D57" s="68">
        <v>52</v>
      </c>
      <c r="E57" s="68">
        <f>(565-227)/565*100</f>
        <v>59.823008849557525</v>
      </c>
      <c r="F57" s="68">
        <f>(565-180)/565*100</f>
        <v>68.14159292035397</v>
      </c>
      <c r="G57" s="69">
        <f>(565-150)/565*100</f>
        <v>73.45132743362832</v>
      </c>
      <c r="H57" s="68">
        <f>(565-130)/565*100</f>
        <v>76.99115044247787</v>
      </c>
      <c r="I57" s="68">
        <f>(565-110)/565*100</f>
        <v>80.53097345132744</v>
      </c>
      <c r="J57" s="68">
        <f>(565-100)/565*100</f>
        <v>82.30088495575221</v>
      </c>
      <c r="K57" s="7"/>
    </row>
    <row r="58" spans="1:11" ht="286.5" customHeight="1">
      <c r="A58" s="20" t="s">
        <v>156</v>
      </c>
      <c r="B58" s="70" t="s">
        <v>219</v>
      </c>
      <c r="C58" s="38" t="s">
        <v>9</v>
      </c>
      <c r="D58" s="68">
        <f>5/14*100</f>
        <v>35.714285714285715</v>
      </c>
      <c r="E58" s="68">
        <f>5/14*100</f>
        <v>35.714285714285715</v>
      </c>
      <c r="F58" s="68">
        <f>5/14*100</f>
        <v>35.714285714285715</v>
      </c>
      <c r="G58" s="69">
        <f>5/14*100</f>
        <v>35.714285714285715</v>
      </c>
      <c r="H58" s="68">
        <f>4/14*100</f>
        <v>28.57142857142857</v>
      </c>
      <c r="I58" s="68">
        <f>4/14*100</f>
        <v>28.57142857142857</v>
      </c>
      <c r="J58" s="68">
        <f>4/14*100</f>
        <v>28.57142857142857</v>
      </c>
      <c r="K58" s="14"/>
    </row>
    <row r="59" spans="1:11" ht="60">
      <c r="A59" s="20" t="s">
        <v>157</v>
      </c>
      <c r="B59" s="70" t="s">
        <v>158</v>
      </c>
      <c r="C59" s="38" t="s">
        <v>9</v>
      </c>
      <c r="D59" s="68">
        <v>30</v>
      </c>
      <c r="E59" s="68">
        <v>34.9</v>
      </c>
      <c r="F59" s="68">
        <v>55</v>
      </c>
      <c r="G59" s="69">
        <v>75</v>
      </c>
      <c r="H59" s="68">
        <v>90</v>
      </c>
      <c r="I59" s="68">
        <v>90</v>
      </c>
      <c r="J59" s="68">
        <v>100</v>
      </c>
      <c r="K59" s="14"/>
    </row>
    <row r="60" spans="1:11" ht="90">
      <c r="A60" s="20" t="s">
        <v>159</v>
      </c>
      <c r="B60" s="70" t="s">
        <v>160</v>
      </c>
      <c r="C60" s="38" t="s">
        <v>9</v>
      </c>
      <c r="D60" s="68">
        <f>32/987*100</f>
        <v>3.242147922998987</v>
      </c>
      <c r="E60" s="68">
        <f>10/1066*100</f>
        <v>0.9380863039399625</v>
      </c>
      <c r="F60" s="68">
        <f>57/1074*100</f>
        <v>5.307262569832402</v>
      </c>
      <c r="G60" s="69">
        <f>89/1158*100</f>
        <v>7.68566493955095</v>
      </c>
      <c r="H60" s="68">
        <f>12/1218*100</f>
        <v>0.9852216748768473</v>
      </c>
      <c r="I60" s="68">
        <f>H60</f>
        <v>0.9852216748768473</v>
      </c>
      <c r="J60" s="68">
        <f>I60</f>
        <v>0.9852216748768473</v>
      </c>
      <c r="K60" s="71" t="s">
        <v>161</v>
      </c>
    </row>
    <row r="61" spans="1:11" ht="15">
      <c r="A61" s="63" t="s">
        <v>162</v>
      </c>
      <c r="B61" s="64"/>
      <c r="C61" s="64"/>
      <c r="D61" s="64"/>
      <c r="E61" s="64"/>
      <c r="F61" s="64"/>
      <c r="G61" s="64"/>
      <c r="H61" s="64"/>
      <c r="I61" s="64"/>
      <c r="J61" s="64"/>
      <c r="K61" s="65"/>
    </row>
    <row r="62" spans="1:11" ht="120">
      <c r="A62" s="20" t="s">
        <v>163</v>
      </c>
      <c r="B62" s="70" t="s">
        <v>164</v>
      </c>
      <c r="C62" s="38" t="s">
        <v>9</v>
      </c>
      <c r="D62" s="68">
        <v>43.75</v>
      </c>
      <c r="E62" s="68">
        <v>35.58</v>
      </c>
      <c r="F62" s="68">
        <v>46.17</v>
      </c>
      <c r="G62" s="69">
        <v>49.76</v>
      </c>
      <c r="H62" s="68">
        <v>50.19</v>
      </c>
      <c r="I62" s="68">
        <v>66.63</v>
      </c>
      <c r="J62" s="68">
        <v>65.14</v>
      </c>
      <c r="K62" s="14"/>
    </row>
    <row r="63" spans="1:11" ht="105">
      <c r="A63" s="20" t="s">
        <v>165</v>
      </c>
      <c r="B63" s="70" t="s">
        <v>166</v>
      </c>
      <c r="C63" s="38" t="s">
        <v>9</v>
      </c>
      <c r="D63" s="18">
        <v>0.07</v>
      </c>
      <c r="E63" s="18">
        <v>0.07</v>
      </c>
      <c r="F63" s="18">
        <v>0.07</v>
      </c>
      <c r="G63" s="18">
        <v>0.07</v>
      </c>
      <c r="H63" s="18">
        <v>0</v>
      </c>
      <c r="I63" s="18">
        <v>0</v>
      </c>
      <c r="J63" s="18">
        <v>0</v>
      </c>
      <c r="K63" s="71" t="s">
        <v>167</v>
      </c>
    </row>
    <row r="64" spans="1:11" ht="75">
      <c r="A64" s="20" t="s">
        <v>168</v>
      </c>
      <c r="B64" s="70" t="s">
        <v>169</v>
      </c>
      <c r="C64" s="38" t="s">
        <v>104</v>
      </c>
      <c r="D64" s="18">
        <v>57188.01181</v>
      </c>
      <c r="E64" s="18">
        <v>26660.48523</v>
      </c>
      <c r="F64" s="18">
        <v>23406.15417</v>
      </c>
      <c r="G64" s="18">
        <v>25426.19409</v>
      </c>
      <c r="H64" s="18">
        <f>18000*0.2</f>
        <v>3600</v>
      </c>
      <c r="I64" s="18"/>
      <c r="J64" s="18"/>
      <c r="K64" s="71" t="s">
        <v>170</v>
      </c>
    </row>
    <row r="65" spans="1:11" ht="105">
      <c r="A65" s="20" t="s">
        <v>171</v>
      </c>
      <c r="B65" s="70" t="s">
        <v>172</v>
      </c>
      <c r="C65" s="38" t="s">
        <v>9</v>
      </c>
      <c r="D65" s="72">
        <f>4630016.77/265694625.66*100</f>
        <v>1.742608364207136</v>
      </c>
      <c r="E65" s="72">
        <f>1986584.29/255398601.8*100</f>
        <v>0.7778367915873218</v>
      </c>
      <c r="F65" s="72">
        <f>3593875.52/307834808.46*100</f>
        <v>1.1674688570727334</v>
      </c>
      <c r="G65" s="73">
        <f>5473306.34/330691060.7*100</f>
        <v>1.655111670818745</v>
      </c>
      <c r="H65" s="72"/>
      <c r="I65" s="72"/>
      <c r="J65" s="72"/>
      <c r="K65" s="14"/>
    </row>
    <row r="66" spans="1:11" ht="75">
      <c r="A66" s="20" t="s">
        <v>173</v>
      </c>
      <c r="B66" s="70" t="s">
        <v>174</v>
      </c>
      <c r="C66" s="38" t="s">
        <v>12</v>
      </c>
      <c r="D66" s="68">
        <f>62970.7/D69</f>
        <v>1683.7085561497327</v>
      </c>
      <c r="E66" s="68">
        <f>66365.8/E69</f>
        <v>1874.7401129943505</v>
      </c>
      <c r="F66" s="68">
        <f>66480.9/F69</f>
        <v>1910.3706896551723</v>
      </c>
      <c r="G66" s="69">
        <f>70298.7/G69</f>
        <v>2066.818569370535</v>
      </c>
      <c r="H66" s="68">
        <f>67258.7/H69</f>
        <v>2018.9925854771413</v>
      </c>
      <c r="I66" s="68">
        <f>67276.6/I69</f>
        <v>2062.876766933432</v>
      </c>
      <c r="J66" s="68">
        <f>67313.5/J69</f>
        <v>2109.28148403472</v>
      </c>
      <c r="K66" s="14"/>
    </row>
    <row r="67" spans="1:11" ht="75">
      <c r="A67" s="74" t="s">
        <v>175</v>
      </c>
      <c r="B67" s="70" t="s">
        <v>176</v>
      </c>
      <c r="C67" s="38" t="s">
        <v>177</v>
      </c>
      <c r="D67" s="68" t="s">
        <v>178</v>
      </c>
      <c r="E67" s="68" t="s">
        <v>178</v>
      </c>
      <c r="F67" s="68" t="s">
        <v>178</v>
      </c>
      <c r="G67" s="69" t="s">
        <v>178</v>
      </c>
      <c r="H67" s="69" t="s">
        <v>178</v>
      </c>
      <c r="I67" s="69" t="s">
        <v>179</v>
      </c>
      <c r="J67" s="69" t="s">
        <v>179</v>
      </c>
      <c r="K67" s="14"/>
    </row>
    <row r="68" spans="1:11" ht="60">
      <c r="A68" s="74" t="s">
        <v>180</v>
      </c>
      <c r="B68" s="70" t="s">
        <v>181</v>
      </c>
      <c r="C68" s="38" t="s">
        <v>182</v>
      </c>
      <c r="D68" s="14"/>
      <c r="E68" s="14"/>
      <c r="F68" s="14"/>
      <c r="G68" s="48"/>
      <c r="H68" s="14"/>
      <c r="I68" s="14"/>
      <c r="J68" s="14"/>
      <c r="K68" s="14"/>
    </row>
    <row r="69" spans="1:11" ht="30">
      <c r="A69" s="74" t="s">
        <v>183</v>
      </c>
      <c r="B69" s="70" t="s">
        <v>184</v>
      </c>
      <c r="C69" s="38" t="s">
        <v>185</v>
      </c>
      <c r="D69" s="68" t="s">
        <v>186</v>
      </c>
      <c r="E69" s="68">
        <v>35.4</v>
      </c>
      <c r="F69" s="68">
        <v>34.8</v>
      </c>
      <c r="G69" s="69">
        <f>(34.403+33.623)/2</f>
        <v>34.013</v>
      </c>
      <c r="H69" s="68">
        <f>G69-0.7</f>
        <v>33.312999999999995</v>
      </c>
      <c r="I69" s="68">
        <f>H69-0.7</f>
        <v>32.61299999999999</v>
      </c>
      <c r="J69" s="68">
        <f>I69-0.7</f>
        <v>31.912999999999993</v>
      </c>
      <c r="K69" s="14"/>
    </row>
    <row r="70" spans="1:11" ht="20.25" customHeight="1">
      <c r="A70" s="75" t="s">
        <v>187</v>
      </c>
      <c r="B70" s="76"/>
      <c r="C70" s="76"/>
      <c r="D70" s="76"/>
      <c r="E70" s="76"/>
      <c r="F70" s="76"/>
      <c r="G70" s="76"/>
      <c r="H70" s="76"/>
      <c r="I70" s="76"/>
      <c r="J70" s="76"/>
      <c r="K70" s="77"/>
    </row>
    <row r="71" spans="1:11" ht="45">
      <c r="A71" s="74" t="s">
        <v>188</v>
      </c>
      <c r="B71" s="70" t="s">
        <v>189</v>
      </c>
      <c r="C71" s="38"/>
      <c r="D71" s="45" t="s">
        <v>30</v>
      </c>
      <c r="E71" s="45" t="s">
        <v>30</v>
      </c>
      <c r="F71" s="45" t="s">
        <v>30</v>
      </c>
      <c r="G71" s="45" t="s">
        <v>30</v>
      </c>
      <c r="H71" s="45" t="s">
        <v>30</v>
      </c>
      <c r="I71" s="45" t="s">
        <v>30</v>
      </c>
      <c r="J71" s="45" t="s">
        <v>30</v>
      </c>
      <c r="K71" s="46" t="s">
        <v>30</v>
      </c>
    </row>
    <row r="72" spans="1:11" ht="120">
      <c r="A72" s="74" t="s">
        <v>190</v>
      </c>
      <c r="B72" s="70" t="s">
        <v>191</v>
      </c>
      <c r="C72" s="78" t="s">
        <v>192</v>
      </c>
      <c r="D72" s="18">
        <v>660</v>
      </c>
      <c r="E72" s="18">
        <v>690</v>
      </c>
      <c r="F72" s="18">
        <v>720</v>
      </c>
      <c r="G72" s="18">
        <v>790</v>
      </c>
      <c r="H72" s="18">
        <v>840</v>
      </c>
      <c r="I72" s="18">
        <v>840</v>
      </c>
      <c r="J72" s="18">
        <v>840</v>
      </c>
      <c r="K72" s="71" t="s">
        <v>193</v>
      </c>
    </row>
    <row r="73" spans="1:11" ht="36">
      <c r="A73" s="74" t="s">
        <v>194</v>
      </c>
      <c r="B73" s="70" t="s">
        <v>195</v>
      </c>
      <c r="C73" s="78" t="s">
        <v>196</v>
      </c>
      <c r="D73" s="79">
        <f>89373.5/305226.8</f>
        <v>0.29281013331725786</v>
      </c>
      <c r="E73" s="79">
        <f>97285/306503.73</f>
        <v>0.3174023363435088</v>
      </c>
      <c r="F73" s="79">
        <f>85751.2/311561.9</f>
        <v>0.2752300586175652</v>
      </c>
      <c r="G73" s="79">
        <f>85751.2/311561.9</f>
        <v>0.2752300586175652</v>
      </c>
      <c r="H73" s="79">
        <v>0.29</v>
      </c>
      <c r="I73" s="79">
        <v>0.29</v>
      </c>
      <c r="J73" s="79">
        <v>0.29</v>
      </c>
      <c r="K73" s="14"/>
    </row>
    <row r="74" spans="1:11" ht="48">
      <c r="A74" s="74" t="s">
        <v>197</v>
      </c>
      <c r="B74" s="70" t="s">
        <v>198</v>
      </c>
      <c r="C74" s="78" t="s">
        <v>199</v>
      </c>
      <c r="D74" s="79">
        <v>22</v>
      </c>
      <c r="E74" s="18">
        <v>22</v>
      </c>
      <c r="F74" s="18">
        <v>22.78</v>
      </c>
      <c r="G74" s="18">
        <v>23</v>
      </c>
      <c r="H74" s="18">
        <v>23</v>
      </c>
      <c r="I74" s="18">
        <v>23</v>
      </c>
      <c r="J74" s="18">
        <v>23</v>
      </c>
      <c r="K74" s="14"/>
    </row>
    <row r="75" spans="1:11" ht="48">
      <c r="A75" s="74" t="s">
        <v>200</v>
      </c>
      <c r="B75" s="70" t="s">
        <v>201</v>
      </c>
      <c r="C75" s="78" t="s">
        <v>199</v>
      </c>
      <c r="D75" s="79">
        <v>29.4</v>
      </c>
      <c r="E75" s="18">
        <v>29.4</v>
      </c>
      <c r="F75" s="18">
        <v>29</v>
      </c>
      <c r="G75" s="18">
        <v>29.5</v>
      </c>
      <c r="H75" s="18">
        <v>29.5</v>
      </c>
      <c r="I75" s="18">
        <v>29.5</v>
      </c>
      <c r="J75" s="18">
        <v>29.5</v>
      </c>
      <c r="K75" s="14"/>
    </row>
    <row r="76" spans="1:11" ht="48">
      <c r="A76" s="20" t="s">
        <v>202</v>
      </c>
      <c r="B76" s="70" t="s">
        <v>203</v>
      </c>
      <c r="C76" s="78" t="s">
        <v>199</v>
      </c>
      <c r="D76" s="14"/>
      <c r="E76" s="14"/>
      <c r="F76" s="14"/>
      <c r="G76" s="48"/>
      <c r="H76" s="14"/>
      <c r="I76" s="14"/>
      <c r="J76" s="14"/>
      <c r="K76" s="14"/>
    </row>
    <row r="77" spans="1:11" ht="60">
      <c r="A77" s="20" t="s">
        <v>204</v>
      </c>
      <c r="B77" s="70" t="s">
        <v>205</v>
      </c>
      <c r="C77" s="38"/>
      <c r="D77" s="45" t="s">
        <v>30</v>
      </c>
      <c r="E77" s="45" t="s">
        <v>30</v>
      </c>
      <c r="F77" s="45" t="s">
        <v>30</v>
      </c>
      <c r="G77" s="45" t="s">
        <v>30</v>
      </c>
      <c r="H77" s="45" t="s">
        <v>30</v>
      </c>
      <c r="I77" s="45" t="s">
        <v>30</v>
      </c>
      <c r="J77" s="45" t="s">
        <v>30</v>
      </c>
      <c r="K77" s="46" t="s">
        <v>30</v>
      </c>
    </row>
    <row r="78" spans="1:11" ht="141" customHeight="1">
      <c r="A78" s="20" t="s">
        <v>206</v>
      </c>
      <c r="B78" s="70" t="s">
        <v>191</v>
      </c>
      <c r="C78" s="38" t="s">
        <v>207</v>
      </c>
      <c r="D78" s="72">
        <f>3117.2/D69</f>
        <v>83.3475935828877</v>
      </c>
      <c r="E78" s="72">
        <f>3118.2/E69</f>
        <v>88.08474576271186</v>
      </c>
      <c r="F78" s="72">
        <f>2907.3/F69</f>
        <v>83.54310344827587</v>
      </c>
      <c r="G78" s="73">
        <f>2082.8/G69</f>
        <v>61.23540999029784</v>
      </c>
      <c r="H78" s="72">
        <f>G78*0.99</f>
        <v>60.62305589039486</v>
      </c>
      <c r="I78" s="72">
        <f>H78*0.99</f>
        <v>60.01682533149091</v>
      </c>
      <c r="J78" s="72">
        <f>I78*0.99</f>
        <v>59.416657078175994</v>
      </c>
      <c r="K78" s="80" t="s">
        <v>218</v>
      </c>
    </row>
    <row r="79" spans="1:11" ht="64.5" customHeight="1">
      <c r="A79" s="20" t="s">
        <v>208</v>
      </c>
      <c r="B79" s="70" t="s">
        <v>195</v>
      </c>
      <c r="C79" s="38" t="s">
        <v>196</v>
      </c>
      <c r="D79" s="72">
        <f>14.6467/D69</f>
        <v>0.3916229946524064</v>
      </c>
      <c r="E79" s="72">
        <f>15.3105/E69</f>
        <v>0.4325</v>
      </c>
      <c r="F79" s="72">
        <f>15.4383/F69</f>
        <v>0.4436293103448276</v>
      </c>
      <c r="G79" s="73">
        <f>11.1168/G69</f>
        <v>0.3268397377473319</v>
      </c>
      <c r="H79" s="72">
        <f>G79*0.97</f>
        <v>0.3170345456149119</v>
      </c>
      <c r="I79" s="72">
        <f>H79*0.97</f>
        <v>0.30752350924646454</v>
      </c>
      <c r="J79" s="72">
        <f>I79*0.97</f>
        <v>0.2982978039690706</v>
      </c>
      <c r="K79" s="80" t="s">
        <v>209</v>
      </c>
    </row>
    <row r="80" spans="1:11" ht="60">
      <c r="A80" s="20" t="s">
        <v>210</v>
      </c>
      <c r="B80" s="70" t="s">
        <v>198</v>
      </c>
      <c r="C80" s="38" t="s">
        <v>211</v>
      </c>
      <c r="D80" s="14"/>
      <c r="E80" s="14" t="s">
        <v>212</v>
      </c>
      <c r="F80" s="14"/>
      <c r="G80" s="48"/>
      <c r="H80" s="14"/>
      <c r="I80" s="14"/>
      <c r="J80" s="14"/>
      <c r="K80" s="81" t="s">
        <v>213</v>
      </c>
    </row>
    <row r="81" spans="1:11" ht="102" customHeight="1">
      <c r="A81" s="20" t="s">
        <v>214</v>
      </c>
      <c r="B81" s="70" t="s">
        <v>201</v>
      </c>
      <c r="C81" s="38" t="s">
        <v>211</v>
      </c>
      <c r="D81" s="72">
        <v>1.5</v>
      </c>
      <c r="E81" s="79">
        <v>1.5</v>
      </c>
      <c r="F81" s="82">
        <v>1.47</v>
      </c>
      <c r="G81" s="79">
        <v>0.86</v>
      </c>
      <c r="H81" s="79">
        <v>0.85</v>
      </c>
      <c r="I81" s="79">
        <v>0.85</v>
      </c>
      <c r="J81" s="72">
        <v>0.84</v>
      </c>
      <c r="K81" s="31"/>
    </row>
    <row r="82" spans="1:11" ht="60">
      <c r="A82" s="20" t="s">
        <v>215</v>
      </c>
      <c r="B82" s="70" t="s">
        <v>203</v>
      </c>
      <c r="C82" s="38" t="s">
        <v>211</v>
      </c>
      <c r="D82" s="14"/>
      <c r="E82" s="14"/>
      <c r="F82" s="14"/>
      <c r="G82" s="48"/>
      <c r="H82" s="14"/>
      <c r="I82" s="14"/>
      <c r="J82" s="14"/>
      <c r="K82" s="14"/>
    </row>
    <row r="83" spans="2:10" ht="15">
      <c r="B83" s="83" t="s">
        <v>216</v>
      </c>
      <c r="E83" s="1">
        <f aca="true" t="shared" si="2" ref="E83:J83">D84</f>
        <v>35.7</v>
      </c>
      <c r="F83" s="1">
        <f t="shared" si="2"/>
        <v>35.3</v>
      </c>
      <c r="G83" s="59">
        <f t="shared" si="2"/>
        <v>34.403</v>
      </c>
      <c r="H83" s="1">
        <f t="shared" si="2"/>
        <v>33.623</v>
      </c>
      <c r="I83" s="1">
        <f t="shared" si="2"/>
        <v>33.00299999999999</v>
      </c>
      <c r="J83" s="1">
        <f t="shared" si="2"/>
        <v>32.22299999999999</v>
      </c>
    </row>
    <row r="84" spans="2:10" ht="15">
      <c r="B84" s="83" t="s">
        <v>216</v>
      </c>
      <c r="D84" s="1">
        <v>35.7</v>
      </c>
      <c r="E84" s="1">
        <v>35.3</v>
      </c>
      <c r="F84" s="1">
        <v>34.403</v>
      </c>
      <c r="G84" s="59">
        <v>33.623</v>
      </c>
      <c r="H84" s="1">
        <f>H69*2-H83</f>
        <v>33.00299999999999</v>
      </c>
      <c r="I84" s="1">
        <f>I69*2-I83</f>
        <v>32.22299999999999</v>
      </c>
      <c r="J84" s="1">
        <f>J69*2-J83</f>
        <v>31.602999999999994</v>
      </c>
    </row>
    <row r="85" spans="2:10" ht="30">
      <c r="B85" s="83" t="s">
        <v>184</v>
      </c>
      <c r="E85" s="1">
        <f aca="true" t="shared" si="3" ref="E85:J85">(E83+E84)/2</f>
        <v>35.5</v>
      </c>
      <c r="F85" s="1">
        <f t="shared" si="3"/>
        <v>34.8515</v>
      </c>
      <c r="G85" s="1">
        <f t="shared" si="3"/>
        <v>34.013</v>
      </c>
      <c r="H85" s="1">
        <f t="shared" si="3"/>
        <v>33.312999999999995</v>
      </c>
      <c r="I85" s="1">
        <f t="shared" si="3"/>
        <v>32.61299999999999</v>
      </c>
      <c r="J85" s="1">
        <f t="shared" si="3"/>
        <v>31.912999999999993</v>
      </c>
    </row>
    <row r="86" spans="2:10" ht="15">
      <c r="B86" s="83" t="s">
        <v>217</v>
      </c>
      <c r="F86" s="1">
        <f>F85/E85</f>
        <v>0.9817323943661972</v>
      </c>
      <c r="G86" s="1">
        <f>G85/F85</f>
        <v>0.9759407772979641</v>
      </c>
      <c r="H86" s="1">
        <f>H85/G85</f>
        <v>0.9794196336694793</v>
      </c>
      <c r="I86" s="1">
        <f>I85/H85</f>
        <v>0.9789871821811305</v>
      </c>
      <c r="J86" s="1">
        <f>J85/I85</f>
        <v>0.9785361665593475</v>
      </c>
    </row>
  </sheetData>
  <autoFilter ref="A11:K84"/>
  <mergeCells count="19">
    <mergeCell ref="B7:J7"/>
    <mergeCell ref="B1:J1"/>
    <mergeCell ref="B2:J2"/>
    <mergeCell ref="B3:J3"/>
    <mergeCell ref="B4:J4"/>
    <mergeCell ref="B5:J5"/>
    <mergeCell ref="B6:J6"/>
    <mergeCell ref="C10:C11"/>
    <mergeCell ref="B10:B11"/>
    <mergeCell ref="K10:K11"/>
    <mergeCell ref="B9:K9"/>
    <mergeCell ref="A48:K48"/>
    <mergeCell ref="A56:K56"/>
    <mergeCell ref="A70:K70"/>
    <mergeCell ref="A61:K61"/>
    <mergeCell ref="D46:I46"/>
    <mergeCell ref="A26:K26"/>
    <mergeCell ref="A30:K30"/>
    <mergeCell ref="A39:K39"/>
  </mergeCells>
  <printOptions/>
  <pageMargins left="0.33" right="0.1" top="0.47" bottom="0.31" header="0.15" footer="0.34"/>
  <pageSetup fitToHeight="9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2013-04-30T11:35:25Z</cp:lastPrinted>
  <dcterms:created xsi:type="dcterms:W3CDTF">2013-04-30T11:26:36Z</dcterms:created>
  <dcterms:modified xsi:type="dcterms:W3CDTF">2013-04-30T11:35:43Z</dcterms:modified>
  <cp:category/>
  <cp:version/>
  <cp:contentType/>
  <cp:contentStatus/>
</cp:coreProperties>
</file>